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Отчет об исполнении сметы" sheetId="6" r:id="rId1"/>
  </sheets>
  <definedNames>
    <definedName name="_xlnm.Print_Area" localSheetId="0">'Отчет об исполнении сметы'!$A$1:$I$90</definedName>
  </definedNames>
  <calcPr calcId="144525"/>
</workbook>
</file>

<file path=xl/calcChain.xml><?xml version="1.0" encoding="utf-8"?>
<calcChain xmlns="http://schemas.openxmlformats.org/spreadsheetml/2006/main">
  <c r="I69" i="6" l="1"/>
  <c r="G69" i="6"/>
  <c r="H69" i="6"/>
  <c r="F69" i="6"/>
  <c r="G68" i="6"/>
  <c r="H68" i="6"/>
  <c r="I68" i="6"/>
  <c r="F68" i="6"/>
  <c r="I66" i="6"/>
  <c r="H66" i="6"/>
  <c r="G66" i="6"/>
  <c r="F66" i="6"/>
  <c r="I65" i="6"/>
  <c r="H65" i="6"/>
  <c r="G65" i="6"/>
  <c r="F65" i="6"/>
  <c r="I64" i="6"/>
  <c r="H64" i="6"/>
  <c r="G64" i="6"/>
  <c r="F64" i="6"/>
  <c r="G50" i="6"/>
  <c r="F50" i="6"/>
  <c r="I50" i="6"/>
  <c r="H50" i="6"/>
  <c r="I49" i="6"/>
  <c r="H49" i="6"/>
  <c r="G49" i="6"/>
  <c r="F49" i="6"/>
  <c r="I37" i="6"/>
  <c r="H37" i="6"/>
  <c r="G37" i="6"/>
  <c r="F37" i="6"/>
  <c r="I36" i="6"/>
  <c r="H36" i="6"/>
  <c r="G36" i="6"/>
  <c r="F36" i="6"/>
  <c r="I32" i="6"/>
  <c r="H32" i="6"/>
  <c r="G32" i="6"/>
  <c r="F32" i="6"/>
  <c r="I31" i="6"/>
  <c r="H31" i="6"/>
  <c r="G31" i="6"/>
  <c r="F31" i="6"/>
  <c r="I26" i="6"/>
  <c r="H26" i="6"/>
  <c r="G26" i="6"/>
  <c r="F26" i="6"/>
  <c r="I25" i="6"/>
  <c r="H25" i="6"/>
  <c r="G25" i="6"/>
  <c r="F25" i="6"/>
  <c r="I20" i="6"/>
  <c r="H20" i="6"/>
  <c r="G20" i="6"/>
  <c r="F20" i="6"/>
  <c r="G19" i="6"/>
  <c r="F19" i="6"/>
  <c r="I19" i="6"/>
  <c r="H19" i="6"/>
  <c r="I15" i="6"/>
  <c r="H15" i="6"/>
  <c r="G15" i="6"/>
  <c r="F15" i="6"/>
  <c r="I14" i="6"/>
  <c r="H14" i="6"/>
  <c r="G14" i="6"/>
  <c r="F14" i="6"/>
  <c r="F12" i="6"/>
  <c r="E84" i="6" l="1"/>
  <c r="D48" i="6"/>
  <c r="E48" i="6" s="1"/>
  <c r="D20" i="6"/>
  <c r="D31" i="6"/>
  <c r="D25" i="6"/>
  <c r="C19" i="6"/>
  <c r="D14" i="6"/>
  <c r="D86" i="6"/>
  <c r="D59" i="6"/>
  <c r="E59" i="6" s="1"/>
  <c r="E24" i="6"/>
  <c r="D23" i="6"/>
  <c r="E23" i="6" s="1"/>
  <c r="D60" i="6"/>
  <c r="E60" i="6" s="1"/>
  <c r="D57" i="6"/>
  <c r="D49" i="6" s="1"/>
  <c r="D22" i="6"/>
  <c r="E22" i="6" s="1"/>
  <c r="E44" i="6"/>
  <c r="E45" i="6"/>
  <c r="E46" i="6"/>
  <c r="E47" i="6"/>
  <c r="E50" i="6"/>
  <c r="E52" i="6"/>
  <c r="E53" i="6"/>
  <c r="E54" i="6"/>
  <c r="E55" i="6"/>
  <c r="E56" i="6"/>
  <c r="E58" i="6"/>
  <c r="E61" i="6"/>
  <c r="E63" i="6"/>
  <c r="E65" i="6"/>
  <c r="E67" i="6"/>
  <c r="E70" i="6"/>
  <c r="E71" i="6"/>
  <c r="E73" i="6"/>
  <c r="E74" i="6"/>
  <c r="E75" i="6"/>
  <c r="E76" i="6"/>
  <c r="E32" i="6"/>
  <c r="E33" i="6"/>
  <c r="E35" i="6"/>
  <c r="E37" i="6"/>
  <c r="E39" i="6"/>
  <c r="E40" i="6"/>
  <c r="E41" i="6"/>
  <c r="E42" i="6"/>
  <c r="E43" i="6"/>
  <c r="E26" i="6"/>
  <c r="E28" i="6"/>
  <c r="E29" i="6"/>
  <c r="E30" i="6"/>
  <c r="E21" i="6"/>
  <c r="E15" i="6"/>
  <c r="E17" i="6"/>
  <c r="E18" i="6"/>
  <c r="C62" i="6"/>
  <c r="C51" i="6"/>
  <c r="C49" i="6" s="1"/>
  <c r="C38" i="6"/>
  <c r="C36" i="6" s="1"/>
  <c r="C34" i="6"/>
  <c r="E34" i="6" s="1"/>
  <c r="C27" i="6"/>
  <c r="E27" i="6" s="1"/>
  <c r="C16" i="6"/>
  <c r="C14" i="6" s="1"/>
  <c r="D72" i="6"/>
  <c r="C72" i="6"/>
  <c r="D69" i="6"/>
  <c r="E69" i="6" s="1"/>
  <c r="C69" i="6"/>
  <c r="C66" i="6"/>
  <c r="C64" i="6"/>
  <c r="D64" i="6"/>
  <c r="D62" i="6"/>
  <c r="D36" i="6" l="1"/>
  <c r="C25" i="6"/>
  <c r="E25" i="6" s="1"/>
  <c r="C77" i="6"/>
  <c r="E16" i="6"/>
  <c r="E51" i="6"/>
  <c r="D19" i="6"/>
  <c r="E19" i="6" s="1"/>
  <c r="E57" i="6"/>
  <c r="C31" i="6"/>
  <c r="E31" i="6" s="1"/>
  <c r="E20" i="6"/>
  <c r="E38" i="6"/>
  <c r="C78" i="6"/>
  <c r="E64" i="6"/>
  <c r="E72" i="6"/>
  <c r="E62" i="6"/>
  <c r="E36" i="6"/>
  <c r="E14" i="6"/>
  <c r="D66" i="6"/>
  <c r="E49" i="6" l="1"/>
  <c r="E66" i="6"/>
  <c r="D68" i="6"/>
  <c r="D77" i="6" s="1"/>
  <c r="D78" i="6" s="1"/>
  <c r="C68" i="6"/>
  <c r="E77" i="6" l="1"/>
  <c r="E78" i="6"/>
  <c r="D79" i="6"/>
  <c r="C85" i="6"/>
  <c r="C79" i="6"/>
  <c r="E68" i="6"/>
  <c r="C86" i="6" l="1"/>
  <c r="E86" i="6" s="1"/>
  <c r="E85" i="6"/>
  <c r="E79" i="6"/>
</calcChain>
</file>

<file path=xl/sharedStrings.xml><?xml version="1.0" encoding="utf-8"?>
<sst xmlns="http://schemas.openxmlformats.org/spreadsheetml/2006/main" count="155" uniqueCount="140">
  <si>
    <t>Коммунальные услуги</t>
  </si>
  <si>
    <t>Электроэнергия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</si>
  <si>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</si>
  <si>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</si>
  <si>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</si>
  <si>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</si>
  <si>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</si>
  <si>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</si>
  <si>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</si>
  <si>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</si>
  <si>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</si>
  <si>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</si>
  <si>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</si>
  <si>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</si>
  <si>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</si>
  <si>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</si>
  <si>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</si>
  <si>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</si>
  <si>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</si>
  <si>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</si>
  <si>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</si>
  <si>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</si>
  <si>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Промывка канализационных колодцев и сетей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</si>
  <si>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</si>
  <si>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</si>
  <si>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</si>
  <si>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</si>
  <si>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</si>
  <si>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</si>
  <si>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</si>
  <si>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</si>
  <si>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</si>
  <si>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</si>
  <si>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</si>
  <si>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</si>
  <si>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</si>
  <si>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</si>
  <si>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</si>
  <si>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</si>
  <si>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</si>
  <si>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</si>
  <si>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</si>
  <si>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</si>
  <si>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</si>
  <si>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</si>
  <si>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</si>
  <si>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</si>
  <si>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</si>
  <si>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</si>
  <si>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</si>
  <si>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</si>
  <si>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</si>
  <si>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</si>
  <si>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</si>
  <si>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</si>
  <si>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</si>
  <si>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</si>
  <si>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</si>
  <si>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</si>
  <si>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</si>
  <si>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</si>
  <si>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</si>
  <si>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</si>
  <si>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</si>
  <si>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</si>
  <si>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</si>
  <si>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</si>
  <si>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</si>
  <si>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</si>
  <si>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</si>
  <si>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</si>
  <si>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</si>
  <si>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</si>
  <si>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</si>
  <si>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</si>
  <si>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</si>
  <si>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</si>
  <si>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</si>
  <si>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</si>
  <si>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</si>
  <si>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</si>
  <si>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</si>
  <si>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</si>
  <si>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</si>
  <si>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</si>
  <si>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</si>
  <si>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</si>
  <si>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</si>
  <si>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</si>
  <si>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</si>
  <si>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</si>
  <si>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</si>
  <si>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</si>
  <si>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</si>
  <si>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</si>
  <si>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</si>
  <si>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</si>
  <si>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</si>
  <si>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</si>
  <si>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</si>
  <si>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</si>
  <si>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</si>
  <si>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</si>
  <si>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</si>
  <si>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</si>
  <si>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</si>
  <si>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</si>
  <si>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</si>
  <si>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</si>
  <si>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</si>
  <si>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</si>
  <si>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</si>
  <si>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</si>
  <si>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</si>
  <si>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</si>
  <si>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Антенна</t>
  </si>
  <si>
    <t>Частичный ремонт подъездов в МКД 3/2 ул. Верхняя</t>
  </si>
  <si>
    <t>Ремонт трубопроводов индивидуального теплового пункта МКД д. 1 корп. 1</t>
  </si>
  <si>
    <t>6.12</t>
  </si>
  <si>
    <t>5.12</t>
  </si>
  <si>
    <t>Благоустройство придомовой территории</t>
  </si>
  <si>
    <t>Коммунальные услуги на промывку систем ЦО и ГВС</t>
  </si>
  <si>
    <t>Договора подряда*</t>
  </si>
  <si>
    <t>Электрические измерения с составлением протокола и техническгого отчета МКД №1 корп 1 ул. Верхняя, МКД №1 корп. 2 ул. Верхняя</t>
  </si>
  <si>
    <t>Освидетельствование лифтов</t>
  </si>
  <si>
    <t>Смета доходов - расходов утверждена общим собранием ТСЖ, протокол №2 от 24.06.2015 г.</t>
  </si>
  <si>
    <t>Протокол № _______</t>
  </si>
  <si>
    <t>"         "                   2016 г.</t>
  </si>
  <si>
    <t>Отчет об исполнении сметы доходов - расходов в 2015 г.</t>
  </si>
  <si>
    <t>План на 2015 г., руб</t>
  </si>
  <si>
    <t>Факт 2015 г., руб</t>
  </si>
  <si>
    <t>План 2015 г.</t>
  </si>
  <si>
    <t>Факт 2015 г.</t>
  </si>
  <si>
    <t>2.4</t>
  </si>
  <si>
    <t>Аварийный ремонт</t>
  </si>
  <si>
    <t>2.5</t>
  </si>
  <si>
    <t>Установка решеток</t>
  </si>
  <si>
    <t>Отклонение, руб</t>
  </si>
  <si>
    <t>Исполнитель Коржова И.В.</t>
  </si>
  <si>
    <t>Площади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</si>
</sst>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E11" sqref="E11:E12"/>
    </sheetView>
  </sheetViews>
  <sheetFormatPr defaultRowHeight="15" x14ac:dyDescent="0.25"/>
  <cols>
    <col min="2" max="2" width="54.7109375" customWidth="1"/>
    <col min="3" max="3" width="20.140625" customWidth="1"/>
    <col min="4" max="4" width="19.85546875" customWidth="1"/>
    <col min="5" max="5" width="18.28515625" customWidth="1"/>
    <col min="6" max="6" width="19" customWidth="1"/>
    <col min="7" max="7" width="19.140625" customWidth="1"/>
    <col min="8" max="8" width="18.42578125" customWidth="1"/>
    <col min="9" max="9" width="19.85546875" customWidth="1"/>
  </cols>
  <sheetData>
    <row r="1" spans="1:9" x14ac:dyDescent="0.25">
      <c r="C1" s="29" t="s">
        <v>51</v>
      </c>
      <c r="D1" s="29"/>
      <c r="E1" s="29"/>
    </row>
    <row r="2" spans="1:9" x14ac:dyDescent="0.25">
      <c r="C2" s="29" t="s">
        <v>126</v>
      </c>
      <c r="D2" s="29"/>
      <c r="E2" s="29"/>
    </row>
    <row r="3" spans="1:9" x14ac:dyDescent="0.25">
      <c r="C3" s="30" t="s">
        <v>127</v>
      </c>
      <c r="D3" s="30"/>
      <c r="E3" s="30"/>
    </row>
    <row r="6" spans="1:9" ht="18.75" x14ac:dyDescent="0.3">
      <c r="A6" s="31" t="s">
        <v>128</v>
      </c>
      <c r="B6" s="31"/>
      <c r="C6" s="31"/>
      <c r="D6" s="31"/>
      <c r="E6" s="31"/>
    </row>
    <row r="7" spans="1:9" x14ac:dyDescent="0.25">
      <c r="A7" s="23"/>
      <c r="B7" s="23"/>
      <c r="C7" s="23"/>
      <c r="D7" s="23"/>
    </row>
    <row r="8" spans="1:9" x14ac:dyDescent="0.25">
      <c r="A8" s="34" t="s">
        <v>125</v>
      </c>
      <c r="B8" s="34"/>
      <c r="C8" s="34"/>
      <c r="D8" s="34"/>
    </row>
    <row r="9" spans="1:9" x14ac:dyDescent="0.25">
      <c r="A9" s="23"/>
      <c r="B9" s="23"/>
      <c r="C9" s="23"/>
      <c r="D9" s="23"/>
    </row>
    <row r="10" spans="1:9" x14ac:dyDescent="0.25">
      <c r="A10" s="17"/>
      <c r="B10" s="17"/>
      <c r="C10" s="17"/>
      <c r="D10" s="17"/>
    </row>
    <row r="11" spans="1:9" ht="18.75" customHeight="1" x14ac:dyDescent="0.25">
      <c r="A11" s="33" t="s">
        <v>32</v>
      </c>
      <c r="B11" s="33" t="s">
        <v>111</v>
      </c>
      <c r="C11" s="33" t="s">
        <v>52</v>
      </c>
      <c r="D11" s="33"/>
      <c r="E11" s="33" t="s">
        <v>137</v>
      </c>
      <c r="F11" s="35" t="s">
        <v>139</v>
      </c>
      <c r="G11" s="35"/>
      <c r="H11" s="35"/>
      <c r="I11" s="35"/>
    </row>
    <row r="12" spans="1:9" x14ac:dyDescent="0.25">
      <c r="A12" s="33"/>
      <c r="B12" s="33"/>
      <c r="C12" s="22" t="s">
        <v>129</v>
      </c>
      <c r="D12" s="22" t="s">
        <v>130</v>
      </c>
      <c r="E12" s="33"/>
      <c r="F12" s="35">
        <f>F13+G13+H13+I13</f>
        <v>33090.6</v>
      </c>
      <c r="G12" s="35"/>
      <c r="H12" s="35"/>
      <c r="I12" s="35"/>
    </row>
    <row r="13" spans="1:9" x14ac:dyDescent="0.25">
      <c r="A13" s="5">
        <v>1</v>
      </c>
      <c r="B13" s="5">
        <v>2</v>
      </c>
      <c r="C13" s="5">
        <v>3</v>
      </c>
      <c r="D13" s="5">
        <v>4</v>
      </c>
      <c r="E13" s="25">
        <v>5</v>
      </c>
      <c r="F13" s="36">
        <v>7818.5</v>
      </c>
      <c r="G13" s="36">
        <v>10346.1</v>
      </c>
      <c r="H13" s="36">
        <v>9763.5</v>
      </c>
      <c r="I13" s="36">
        <v>5162.5</v>
      </c>
    </row>
    <row r="14" spans="1:9" x14ac:dyDescent="0.25">
      <c r="A14" s="6" t="s">
        <v>53</v>
      </c>
      <c r="B14" s="11" t="s">
        <v>2</v>
      </c>
      <c r="C14" s="12">
        <f>SUM(C15:C18)</f>
        <v>1424273.3616000002</v>
      </c>
      <c r="D14" s="12">
        <f>SUM(D15:D18)</f>
        <v>1440428.25</v>
      </c>
      <c r="E14" s="27">
        <f>C14-D14</f>
        <v>-16154.888399999822</v>
      </c>
      <c r="F14" s="4">
        <f>C14/F12*F13</f>
        <v>336520.98413657059</v>
      </c>
      <c r="G14" s="4">
        <f>C14/F12*G13</f>
        <v>445313.00811861263</v>
      </c>
      <c r="H14" s="4">
        <f>C14/F12*H13</f>
        <v>420236.95448198589</v>
      </c>
      <c r="I14" s="4">
        <f>C14/F12*I13</f>
        <v>222202.41486283118</v>
      </c>
    </row>
    <row r="15" spans="1:9" x14ac:dyDescent="0.25">
      <c r="A15" s="10" t="s">
        <v>54</v>
      </c>
      <c r="B15" s="9" t="s">
        <v>9</v>
      </c>
      <c r="C15" s="7">
        <v>890040.8</v>
      </c>
      <c r="D15" s="7">
        <v>902448.55</v>
      </c>
      <c r="E15" s="26">
        <f t="shared" ref="E15:E78" si="0">C15-D15</f>
        <v>-12407.75</v>
      </c>
      <c r="F15" s="4">
        <f>D14/F12*F13</f>
        <v>340337.98941768962</v>
      </c>
      <c r="G15" s="4">
        <f>D14/F12*G13</f>
        <v>450363.99211029726</v>
      </c>
      <c r="H15" s="4">
        <f>D14/F12*H13</f>
        <v>425003.51214166568</v>
      </c>
      <c r="I15" s="4">
        <f>D14/F12*I13</f>
        <v>224722.75633034762</v>
      </c>
    </row>
    <row r="16" spans="1:9" x14ac:dyDescent="0.25">
      <c r="A16" s="10" t="s">
        <v>55</v>
      </c>
      <c r="B16" s="9" t="s">
        <v>50</v>
      </c>
      <c r="C16" s="7">
        <f>C15*0.302</f>
        <v>268792.32160000002</v>
      </c>
      <c r="D16" s="7">
        <v>272539.46000000002</v>
      </c>
      <c r="E16" s="26">
        <f t="shared" si="0"/>
        <v>-3747.1383999999962</v>
      </c>
      <c r="F16" s="4"/>
      <c r="G16" s="4"/>
      <c r="H16" s="4"/>
      <c r="I16" s="4"/>
    </row>
    <row r="17" spans="1:9" ht="30" x14ac:dyDescent="0.25">
      <c r="A17" s="10" t="s">
        <v>56</v>
      </c>
      <c r="B17" s="1" t="s">
        <v>15</v>
      </c>
      <c r="C17" s="7">
        <v>161040.24</v>
      </c>
      <c r="D17" s="7">
        <v>161040.24</v>
      </c>
      <c r="E17" s="26">
        <f t="shared" si="0"/>
        <v>0</v>
      </c>
      <c r="F17" s="4"/>
      <c r="G17" s="4"/>
      <c r="H17" s="4"/>
      <c r="I17" s="4"/>
    </row>
    <row r="18" spans="1:9" ht="45" x14ac:dyDescent="0.25">
      <c r="A18" s="10" t="s">
        <v>57</v>
      </c>
      <c r="B18" s="1" t="s">
        <v>17</v>
      </c>
      <c r="C18" s="7">
        <v>104400</v>
      </c>
      <c r="D18" s="7">
        <v>104400</v>
      </c>
      <c r="E18" s="26">
        <f t="shared" si="0"/>
        <v>0</v>
      </c>
      <c r="F18" s="4"/>
      <c r="G18" s="4"/>
      <c r="H18" s="4"/>
      <c r="I18" s="4"/>
    </row>
    <row r="19" spans="1:9" x14ac:dyDescent="0.25">
      <c r="A19" s="6" t="s">
        <v>58</v>
      </c>
      <c r="B19" s="11" t="s">
        <v>4</v>
      </c>
      <c r="C19" s="12">
        <f>SUM(C20:C24)</f>
        <v>879250</v>
      </c>
      <c r="D19" s="12">
        <f>SUM(D20:D24)</f>
        <v>869222.84000000008</v>
      </c>
      <c r="E19" s="27">
        <f>C19-D19</f>
        <v>10027.159999999916</v>
      </c>
      <c r="F19" s="4">
        <f>C19/F12*F13</f>
        <v>207745.28491474924</v>
      </c>
      <c r="G19" s="4">
        <f>C19/F12*G13</f>
        <v>274906.11910935433</v>
      </c>
      <c r="H19" s="4">
        <f>C19/F12*H13</f>
        <v>259425.86036517925</v>
      </c>
      <c r="I19" s="4">
        <f>C19/F12*I13</f>
        <v>137172.73561071727</v>
      </c>
    </row>
    <row r="20" spans="1:9" x14ac:dyDescent="0.25">
      <c r="A20" s="10" t="s">
        <v>33</v>
      </c>
      <c r="B20" s="3" t="s">
        <v>29</v>
      </c>
      <c r="C20" s="7">
        <v>238000</v>
      </c>
      <c r="D20" s="7">
        <f>36565.21+441657.63</f>
        <v>478222.84</v>
      </c>
      <c r="E20" s="26">
        <f t="shared" si="0"/>
        <v>-240222.84000000003</v>
      </c>
      <c r="F20" s="4">
        <f>D19/F12*F13</f>
        <v>205376.1120843986</v>
      </c>
      <c r="G20" s="37">
        <f>D19/F12*G13</f>
        <v>271771.02938369208</v>
      </c>
      <c r="H20" s="4">
        <f>D19/F12*H13</f>
        <v>256467.31090823378</v>
      </c>
      <c r="I20" s="4">
        <f>D19/F12*I13</f>
        <v>135608.38762367563</v>
      </c>
    </row>
    <row r="21" spans="1:9" x14ac:dyDescent="0.25">
      <c r="A21" s="10" t="s">
        <v>34</v>
      </c>
      <c r="B21" s="1" t="s">
        <v>116</v>
      </c>
      <c r="C21" s="7">
        <v>56250</v>
      </c>
      <c r="D21" s="7">
        <v>0</v>
      </c>
      <c r="E21" s="26">
        <f t="shared" si="0"/>
        <v>56250</v>
      </c>
      <c r="F21" s="4"/>
      <c r="G21" s="4"/>
      <c r="H21" s="4"/>
      <c r="I21" s="4"/>
    </row>
    <row r="22" spans="1:9" ht="30" x14ac:dyDescent="0.25">
      <c r="A22" s="10" t="s">
        <v>35</v>
      </c>
      <c r="B22" s="1" t="s">
        <v>117</v>
      </c>
      <c r="C22" s="7">
        <v>585000</v>
      </c>
      <c r="D22" s="7">
        <f>195000+83500</f>
        <v>278500</v>
      </c>
      <c r="E22" s="26">
        <f t="shared" si="0"/>
        <v>306500</v>
      </c>
      <c r="F22" s="4"/>
      <c r="G22" s="4"/>
      <c r="H22" s="4"/>
      <c r="I22" s="4"/>
    </row>
    <row r="23" spans="1:9" x14ac:dyDescent="0.25">
      <c r="A23" s="10" t="s">
        <v>133</v>
      </c>
      <c r="B23" s="1" t="s">
        <v>134</v>
      </c>
      <c r="C23" s="7">
        <v>0</v>
      </c>
      <c r="D23" s="7">
        <f>15000+83500</f>
        <v>98500</v>
      </c>
      <c r="E23" s="26">
        <f t="shared" si="0"/>
        <v>-98500</v>
      </c>
      <c r="F23" s="4"/>
      <c r="G23" s="4"/>
      <c r="H23" s="4"/>
      <c r="I23" s="4"/>
    </row>
    <row r="24" spans="1:9" x14ac:dyDescent="0.25">
      <c r="A24" s="10" t="s">
        <v>135</v>
      </c>
      <c r="B24" s="1" t="s">
        <v>136</v>
      </c>
      <c r="C24" s="7">
        <v>0</v>
      </c>
      <c r="D24" s="7">
        <v>14000</v>
      </c>
      <c r="E24" s="26">
        <f t="shared" si="0"/>
        <v>-14000</v>
      </c>
      <c r="F24" s="4"/>
      <c r="G24" s="4"/>
      <c r="H24" s="4"/>
      <c r="I24" s="4"/>
    </row>
    <row r="25" spans="1:9" x14ac:dyDescent="0.25">
      <c r="A25" s="6" t="s">
        <v>36</v>
      </c>
      <c r="B25" s="2" t="s">
        <v>5</v>
      </c>
      <c r="C25" s="12">
        <f>SUM(C26:C30)</f>
        <v>1511890.9380000001</v>
      </c>
      <c r="D25" s="12">
        <f>SUM(D26:D30)</f>
        <v>1352547.82</v>
      </c>
      <c r="E25" s="27">
        <f t="shared" si="0"/>
        <v>159343.11800000002</v>
      </c>
      <c r="F25" s="4">
        <f>C25/F12*F13</f>
        <v>357222.87594522315</v>
      </c>
      <c r="G25" s="4">
        <f>C25/F12*G13</f>
        <v>472707.50103176734</v>
      </c>
      <c r="H25" s="4">
        <f>C25/F12*H13</f>
        <v>446088.83408469474</v>
      </c>
      <c r="I25" s="4">
        <f>C25/F12*I13</f>
        <v>235871.72693831482</v>
      </c>
    </row>
    <row r="26" spans="1:9" x14ac:dyDescent="0.25">
      <c r="A26" s="10" t="s">
        <v>37</v>
      </c>
      <c r="B26" s="1" t="s">
        <v>9</v>
      </c>
      <c r="C26" s="7">
        <v>1127119</v>
      </c>
      <c r="D26" s="7">
        <v>1170075.82</v>
      </c>
      <c r="E26" s="26">
        <f t="shared" si="0"/>
        <v>-42956.820000000065</v>
      </c>
      <c r="F26" s="4">
        <f>D25/F12*F13</f>
        <v>319573.99172786233</v>
      </c>
      <c r="G26" s="4">
        <f>D25/F12*G13</f>
        <v>422887.31544613885</v>
      </c>
      <c r="H26" s="4">
        <f>D25/F12*H13</f>
        <v>399074.07664321596</v>
      </c>
      <c r="I26" s="4">
        <f>D25/F12*I13</f>
        <v>211012.43618278304</v>
      </c>
    </row>
    <row r="27" spans="1:9" x14ac:dyDescent="0.25">
      <c r="A27" s="10" t="s">
        <v>38</v>
      </c>
      <c r="B27" s="1" t="s">
        <v>50</v>
      </c>
      <c r="C27" s="7">
        <f>C26*0.302</f>
        <v>340389.93799999997</v>
      </c>
      <c r="D27" s="7">
        <v>164282.17000000001</v>
      </c>
      <c r="E27" s="26">
        <f t="shared" si="0"/>
        <v>176107.76799999995</v>
      </c>
      <c r="F27" s="4"/>
      <c r="G27" s="4"/>
      <c r="H27" s="4"/>
      <c r="I27" s="4"/>
    </row>
    <row r="28" spans="1:9" x14ac:dyDescent="0.25">
      <c r="A28" s="10" t="s">
        <v>46</v>
      </c>
      <c r="B28" s="1" t="s">
        <v>10</v>
      </c>
      <c r="C28" s="7">
        <v>24032</v>
      </c>
      <c r="D28" s="7">
        <v>4594.53</v>
      </c>
      <c r="E28" s="26">
        <f t="shared" si="0"/>
        <v>19437.47</v>
      </c>
      <c r="F28" s="4"/>
      <c r="G28" s="4"/>
      <c r="H28" s="4"/>
      <c r="I28" s="4"/>
    </row>
    <row r="29" spans="1:9" x14ac:dyDescent="0.25">
      <c r="A29" s="10" t="s">
        <v>59</v>
      </c>
      <c r="B29" s="1" t="s">
        <v>11</v>
      </c>
      <c r="C29" s="7">
        <v>8600</v>
      </c>
      <c r="D29" s="7">
        <v>13595.3</v>
      </c>
      <c r="E29" s="26">
        <f t="shared" si="0"/>
        <v>-4995.2999999999993</v>
      </c>
      <c r="F29" s="4"/>
      <c r="G29" s="4"/>
      <c r="H29" s="4"/>
      <c r="I29" s="4"/>
    </row>
    <row r="30" spans="1:9" x14ac:dyDescent="0.25">
      <c r="A30" s="10" t="s">
        <v>60</v>
      </c>
      <c r="B30" s="1" t="s">
        <v>12</v>
      </c>
      <c r="C30" s="7">
        <v>11750</v>
      </c>
      <c r="D30" s="7">
        <v>0</v>
      </c>
      <c r="E30" s="26">
        <f t="shared" si="0"/>
        <v>11750</v>
      </c>
      <c r="F30" s="4"/>
      <c r="G30" s="4"/>
      <c r="H30" s="4"/>
      <c r="I30" s="4"/>
    </row>
    <row r="31" spans="1:9" x14ac:dyDescent="0.25">
      <c r="A31" s="6" t="s">
        <v>61</v>
      </c>
      <c r="B31" s="2" t="s">
        <v>6</v>
      </c>
      <c r="C31" s="12">
        <f>SUM(C32:C35)</f>
        <v>794203.72</v>
      </c>
      <c r="D31" s="12">
        <f>SUM(D32:D35)</f>
        <v>715563.67999999993</v>
      </c>
      <c r="E31" s="27">
        <f t="shared" si="0"/>
        <v>78640.040000000037</v>
      </c>
      <c r="F31" s="4">
        <f>C31/F12*F13</f>
        <v>187650.92759937869</v>
      </c>
      <c r="G31" s="4">
        <f>C31/F12*G13</f>
        <v>248315.56718500119</v>
      </c>
      <c r="H31" s="4">
        <f>C31/F12*H13</f>
        <v>234332.6509709706</v>
      </c>
      <c r="I31" s="4">
        <f>C31/F12*I13</f>
        <v>123904.57424464954</v>
      </c>
    </row>
    <row r="32" spans="1:9" ht="30" x14ac:dyDescent="0.25">
      <c r="A32" s="10" t="s">
        <v>62</v>
      </c>
      <c r="B32" s="1" t="s">
        <v>14</v>
      </c>
      <c r="C32" s="7">
        <v>300078.71999999997</v>
      </c>
      <c r="D32" s="7">
        <v>300078.71999999997</v>
      </c>
      <c r="E32" s="26">
        <f t="shared" si="0"/>
        <v>0</v>
      </c>
      <c r="F32" s="4">
        <f>D31/F12*F13</f>
        <v>169070.20821864819</v>
      </c>
      <c r="G32" s="4">
        <f>D31/F12*G13</f>
        <v>223727.98890464363</v>
      </c>
      <c r="H32" s="4">
        <f>D31/F12*H13</f>
        <v>211129.62562419538</v>
      </c>
      <c r="I32" s="4">
        <f>D31/F12*I13</f>
        <v>111635.8572525128</v>
      </c>
    </row>
    <row r="33" spans="1:9" x14ac:dyDescent="0.25">
      <c r="A33" s="10" t="s">
        <v>63</v>
      </c>
      <c r="B33" s="1" t="s">
        <v>23</v>
      </c>
      <c r="C33" s="7">
        <v>75000</v>
      </c>
      <c r="D33" s="7">
        <v>0</v>
      </c>
      <c r="E33" s="26">
        <f t="shared" si="0"/>
        <v>75000</v>
      </c>
      <c r="F33" s="4"/>
      <c r="G33" s="4"/>
      <c r="H33" s="4"/>
      <c r="I33" s="4"/>
    </row>
    <row r="34" spans="1:9" x14ac:dyDescent="0.25">
      <c r="A34" s="10" t="s">
        <v>64</v>
      </c>
      <c r="B34" s="1" t="s">
        <v>124</v>
      </c>
      <c r="C34" s="7">
        <f>17*3000</f>
        <v>51000</v>
      </c>
      <c r="D34" s="7">
        <v>47359.96</v>
      </c>
      <c r="E34" s="26">
        <f t="shared" si="0"/>
        <v>3640.0400000000009</v>
      </c>
      <c r="F34" s="4"/>
      <c r="G34" s="4"/>
      <c r="H34" s="4"/>
      <c r="I34" s="4"/>
    </row>
    <row r="35" spans="1:9" x14ac:dyDescent="0.25">
      <c r="A35" s="10" t="s">
        <v>64</v>
      </c>
      <c r="B35" s="1" t="s">
        <v>1</v>
      </c>
      <c r="C35" s="7">
        <v>368125</v>
      </c>
      <c r="D35" s="28">
        <v>368125</v>
      </c>
      <c r="E35" s="26">
        <f t="shared" si="0"/>
        <v>0</v>
      </c>
      <c r="F35" s="4"/>
      <c r="G35" s="4"/>
      <c r="H35" s="4"/>
      <c r="I35" s="4"/>
    </row>
    <row r="36" spans="1:9" ht="30" x14ac:dyDescent="0.25">
      <c r="A36" s="6" t="s">
        <v>65</v>
      </c>
      <c r="B36" s="2" t="s">
        <v>7</v>
      </c>
      <c r="C36" s="12">
        <f>SUM(C37:C48)</f>
        <v>2621360.7699999996</v>
      </c>
      <c r="D36" s="12">
        <f>SUM(D37:D48)</f>
        <v>2022892.3299999998</v>
      </c>
      <c r="E36" s="27">
        <f t="shared" si="0"/>
        <v>598468.43999999971</v>
      </c>
      <c r="F36" s="4">
        <f>C36/F12*F13</f>
        <v>619363.48027068109</v>
      </c>
      <c r="G36" s="4">
        <f>C36/F12*G13</f>
        <v>819594.10414126667</v>
      </c>
      <c r="H36" s="4">
        <f>C36/F12*H13</f>
        <v>773441.88010779489</v>
      </c>
      <c r="I36" s="4">
        <f>C36/F12*I13</f>
        <v>408961.3054802572</v>
      </c>
    </row>
    <row r="37" spans="1:9" x14ac:dyDescent="0.25">
      <c r="A37" s="10" t="s">
        <v>66</v>
      </c>
      <c r="B37" s="3" t="s">
        <v>9</v>
      </c>
      <c r="C37" s="7">
        <v>1005920</v>
      </c>
      <c r="D37" s="7">
        <v>807516.69</v>
      </c>
      <c r="E37" s="26">
        <f t="shared" si="0"/>
        <v>198403.31000000006</v>
      </c>
      <c r="F37" s="4">
        <f>D36/F12*F13</f>
        <v>477960.01529452472</v>
      </c>
      <c r="G37" s="4">
        <f>D36/F12*G13</f>
        <v>632477.08821879933</v>
      </c>
      <c r="H37" s="4">
        <f>D36/F12*H13</f>
        <v>596861.62426655903</v>
      </c>
      <c r="I37" s="4">
        <f>D36/F12*I13</f>
        <v>315593.60222011688</v>
      </c>
    </row>
    <row r="38" spans="1:9" x14ac:dyDescent="0.25">
      <c r="A38" s="10" t="s">
        <v>67</v>
      </c>
      <c r="B38" s="1" t="s">
        <v>50</v>
      </c>
      <c r="C38" s="7">
        <f>C37*0.302</f>
        <v>303787.83999999997</v>
      </c>
      <c r="D38" s="7">
        <v>243870.04</v>
      </c>
      <c r="E38" s="26">
        <f t="shared" si="0"/>
        <v>59917.799999999959</v>
      </c>
      <c r="F38" s="4"/>
      <c r="G38" s="4"/>
      <c r="H38" s="4"/>
      <c r="I38" s="4"/>
    </row>
    <row r="39" spans="1:9" x14ac:dyDescent="0.25">
      <c r="A39" s="10" t="s">
        <v>68</v>
      </c>
      <c r="B39" s="1" t="s">
        <v>10</v>
      </c>
      <c r="C39" s="7">
        <v>2000</v>
      </c>
      <c r="D39" s="7">
        <v>26736.9</v>
      </c>
      <c r="E39" s="26">
        <f t="shared" si="0"/>
        <v>-24736.9</v>
      </c>
      <c r="F39" s="4"/>
      <c r="G39" s="4"/>
      <c r="H39" s="4"/>
      <c r="I39" s="4"/>
    </row>
    <row r="40" spans="1:9" x14ac:dyDescent="0.25">
      <c r="A40" s="19" t="s">
        <v>69</v>
      </c>
      <c r="B40" s="1" t="s">
        <v>11</v>
      </c>
      <c r="C40" s="7">
        <v>15000</v>
      </c>
      <c r="D40" s="7">
        <v>15698.2</v>
      </c>
      <c r="E40" s="26">
        <f t="shared" si="0"/>
        <v>-698.20000000000073</v>
      </c>
      <c r="F40" s="4"/>
      <c r="G40" s="4"/>
      <c r="H40" s="4"/>
      <c r="I40" s="4"/>
    </row>
    <row r="41" spans="1:9" x14ac:dyDescent="0.25">
      <c r="A41" s="19" t="s">
        <v>70</v>
      </c>
      <c r="B41" s="1" t="s">
        <v>12</v>
      </c>
      <c r="C41" s="7">
        <v>8000</v>
      </c>
      <c r="D41" s="7">
        <v>0</v>
      </c>
      <c r="E41" s="26">
        <f t="shared" si="0"/>
        <v>8000</v>
      </c>
      <c r="F41" s="4"/>
      <c r="G41" s="4"/>
      <c r="H41" s="4"/>
      <c r="I41" s="4"/>
    </row>
    <row r="42" spans="1:9" ht="30" x14ac:dyDescent="0.25">
      <c r="A42" s="19" t="s">
        <v>71</v>
      </c>
      <c r="B42" s="3" t="s">
        <v>16</v>
      </c>
      <c r="C42" s="7">
        <v>166945.92000000001</v>
      </c>
      <c r="D42" s="7">
        <v>155816.12</v>
      </c>
      <c r="E42" s="26">
        <f t="shared" si="0"/>
        <v>11129.800000000017</v>
      </c>
      <c r="F42" s="4"/>
      <c r="G42" s="4"/>
      <c r="H42" s="4"/>
      <c r="I42" s="4"/>
    </row>
    <row r="43" spans="1:9" ht="30" x14ac:dyDescent="0.25">
      <c r="A43" s="19" t="s">
        <v>72</v>
      </c>
      <c r="B43" s="3" t="s">
        <v>18</v>
      </c>
      <c r="C43" s="7">
        <v>180500.01</v>
      </c>
      <c r="D43" s="7">
        <v>183398.39999999999</v>
      </c>
      <c r="E43" s="26">
        <f t="shared" si="0"/>
        <v>-2898.3899999999849</v>
      </c>
      <c r="F43" s="4"/>
      <c r="G43" s="4"/>
      <c r="H43" s="4"/>
      <c r="I43" s="4"/>
    </row>
    <row r="44" spans="1:9" ht="30" x14ac:dyDescent="0.25">
      <c r="A44" s="19" t="s">
        <v>73</v>
      </c>
      <c r="B44" s="1" t="s">
        <v>21</v>
      </c>
      <c r="C44" s="7">
        <v>38000</v>
      </c>
      <c r="D44" s="7">
        <v>1263.78</v>
      </c>
      <c r="E44" s="26">
        <f t="shared" si="0"/>
        <v>36736.22</v>
      </c>
      <c r="F44" s="4"/>
      <c r="G44" s="4"/>
      <c r="H44" s="4"/>
      <c r="I44" s="4"/>
    </row>
    <row r="45" spans="1:9" ht="45" x14ac:dyDescent="0.25">
      <c r="A45" s="19" t="s">
        <v>74</v>
      </c>
      <c r="B45" s="1" t="s">
        <v>123</v>
      </c>
      <c r="C45" s="7">
        <v>220000</v>
      </c>
      <c r="D45" s="7">
        <v>220197</v>
      </c>
      <c r="E45" s="26">
        <f t="shared" si="0"/>
        <v>-197</v>
      </c>
      <c r="F45" s="4"/>
      <c r="G45" s="4"/>
      <c r="H45" s="4"/>
      <c r="I45" s="4"/>
    </row>
    <row r="46" spans="1:9" x14ac:dyDescent="0.25">
      <c r="A46" s="19" t="s">
        <v>75</v>
      </c>
      <c r="B46" s="1" t="s">
        <v>22</v>
      </c>
      <c r="C46" s="7">
        <v>125000</v>
      </c>
      <c r="D46" s="7">
        <v>59750</v>
      </c>
      <c r="E46" s="26">
        <f t="shared" si="0"/>
        <v>65250</v>
      </c>
      <c r="F46" s="4"/>
      <c r="G46" s="4"/>
      <c r="H46" s="4"/>
      <c r="I46" s="4"/>
    </row>
    <row r="47" spans="1:9" x14ac:dyDescent="0.25">
      <c r="A47" s="19" t="s">
        <v>76</v>
      </c>
      <c r="B47" s="1" t="s">
        <v>25</v>
      </c>
      <c r="C47" s="7">
        <v>98000</v>
      </c>
      <c r="D47" s="7">
        <v>58992.6</v>
      </c>
      <c r="E47" s="26">
        <f t="shared" si="0"/>
        <v>39007.4</v>
      </c>
      <c r="F47" s="4"/>
      <c r="G47" s="4"/>
      <c r="H47" s="4"/>
      <c r="I47" s="4"/>
    </row>
    <row r="48" spans="1:9" x14ac:dyDescent="0.25">
      <c r="A48" s="19" t="s">
        <v>119</v>
      </c>
      <c r="B48" s="1" t="s">
        <v>121</v>
      </c>
      <c r="C48" s="7">
        <v>458207</v>
      </c>
      <c r="D48" s="28">
        <f>10452.2+45310.3+143957+49933.1</f>
        <v>249652.6</v>
      </c>
      <c r="E48" s="26">
        <f t="shared" si="0"/>
        <v>208554.4</v>
      </c>
      <c r="F48" s="4"/>
      <c r="G48" s="4"/>
      <c r="H48" s="4"/>
      <c r="I48" s="4"/>
    </row>
    <row r="49" spans="1:9" x14ac:dyDescent="0.25">
      <c r="A49" s="20" t="s">
        <v>77</v>
      </c>
      <c r="B49" s="2" t="s">
        <v>8</v>
      </c>
      <c r="C49" s="12">
        <f>SUM(C50:C61)</f>
        <v>1850864.0740800002</v>
      </c>
      <c r="D49" s="12">
        <f>SUM(D50:D61)</f>
        <v>1976139.15</v>
      </c>
      <c r="E49" s="27">
        <f t="shared" si="0"/>
        <v>-125275.07591999974</v>
      </c>
      <c r="F49" s="4">
        <f>C49/F12*F13</f>
        <v>437313.94302897144</v>
      </c>
      <c r="G49" s="4">
        <f>C49/F12*G13</f>
        <v>578690.7700929899</v>
      </c>
      <c r="H49" s="4">
        <f>C49/F12*H13</f>
        <v>546104.07146682392</v>
      </c>
      <c r="I49" s="4">
        <f>C49/F12*I13</f>
        <v>288755.28949121508</v>
      </c>
    </row>
    <row r="50" spans="1:9" x14ac:dyDescent="0.25">
      <c r="A50" s="19" t="s">
        <v>78</v>
      </c>
      <c r="B50" s="3" t="s">
        <v>9</v>
      </c>
      <c r="C50" s="7">
        <v>1232861.04</v>
      </c>
      <c r="D50" s="7">
        <v>1345160.11</v>
      </c>
      <c r="E50" s="26">
        <f t="shared" si="0"/>
        <v>-112299.07000000007</v>
      </c>
      <c r="F50" s="4">
        <f>D49/F12*F13</f>
        <v>466913.38157286355</v>
      </c>
      <c r="G50" s="4">
        <f>D49/F12*G13</f>
        <v>617859.2488445359</v>
      </c>
      <c r="H50" s="4">
        <f>D49/F12*H13</f>
        <v>583066.93112318905</v>
      </c>
      <c r="I50" s="4">
        <f>D49/F12*I13</f>
        <v>308299.5884594114</v>
      </c>
    </row>
    <row r="51" spans="1:9" x14ac:dyDescent="0.25">
      <c r="A51" s="19" t="s">
        <v>79</v>
      </c>
      <c r="B51" s="1" t="s">
        <v>50</v>
      </c>
      <c r="C51" s="7">
        <f>C50*0.302</f>
        <v>372324.03408000001</v>
      </c>
      <c r="D51" s="7">
        <v>406238.35</v>
      </c>
      <c r="E51" s="26">
        <f t="shared" si="0"/>
        <v>-33914.315919999965</v>
      </c>
      <c r="F51" s="4"/>
      <c r="G51" s="4"/>
      <c r="H51" s="4"/>
      <c r="I51" s="4"/>
    </row>
    <row r="52" spans="1:9" x14ac:dyDescent="0.25">
      <c r="A52" s="19" t="s">
        <v>80</v>
      </c>
      <c r="B52" s="1" t="s">
        <v>24</v>
      </c>
      <c r="C52" s="7">
        <v>15600</v>
      </c>
      <c r="D52" s="7">
        <v>16409.419999999998</v>
      </c>
      <c r="E52" s="26">
        <f t="shared" si="0"/>
        <v>-809.41999999999825</v>
      </c>
      <c r="F52" s="4"/>
      <c r="G52" s="4"/>
      <c r="H52" s="4"/>
      <c r="I52" s="4"/>
    </row>
    <row r="53" spans="1:9" x14ac:dyDescent="0.25">
      <c r="A53" s="19" t="s">
        <v>81</v>
      </c>
      <c r="B53" s="1" t="s">
        <v>0</v>
      </c>
      <c r="C53" s="7">
        <v>36179</v>
      </c>
      <c r="D53" s="28">
        <v>27373.32</v>
      </c>
      <c r="E53" s="26">
        <f t="shared" si="0"/>
        <v>8805.68</v>
      </c>
      <c r="F53" s="4"/>
      <c r="G53" s="4"/>
      <c r="H53" s="4"/>
      <c r="I53" s="4"/>
    </row>
    <row r="54" spans="1:9" x14ac:dyDescent="0.25">
      <c r="A54" s="19" t="s">
        <v>82</v>
      </c>
      <c r="B54" s="1" t="s">
        <v>26</v>
      </c>
      <c r="C54" s="7">
        <v>4900</v>
      </c>
      <c r="D54" s="7">
        <v>3729.22</v>
      </c>
      <c r="E54" s="26">
        <f t="shared" si="0"/>
        <v>1170.7800000000002</v>
      </c>
      <c r="F54" s="4"/>
      <c r="G54" s="4"/>
      <c r="H54" s="4"/>
      <c r="I54" s="4"/>
    </row>
    <row r="55" spans="1:9" x14ac:dyDescent="0.25">
      <c r="A55" s="19" t="s">
        <v>83</v>
      </c>
      <c r="B55" s="1" t="s">
        <v>122</v>
      </c>
      <c r="C55" s="7">
        <v>0</v>
      </c>
      <c r="D55" s="7">
        <v>17539.8</v>
      </c>
      <c r="E55" s="26">
        <f t="shared" si="0"/>
        <v>-17539.8</v>
      </c>
      <c r="F55" s="4"/>
      <c r="G55" s="4"/>
      <c r="H55" s="4"/>
      <c r="I55" s="4"/>
    </row>
    <row r="56" spans="1:9" ht="30" x14ac:dyDescent="0.25">
      <c r="A56" s="19" t="s">
        <v>84</v>
      </c>
      <c r="B56" s="1" t="s">
        <v>27</v>
      </c>
      <c r="C56" s="7">
        <v>60000</v>
      </c>
      <c r="D56" s="7">
        <v>0</v>
      </c>
      <c r="E56" s="26">
        <f t="shared" si="0"/>
        <v>60000</v>
      </c>
      <c r="F56" s="4"/>
      <c r="G56" s="4"/>
      <c r="H56" s="4"/>
      <c r="I56" s="4"/>
    </row>
    <row r="57" spans="1:9" x14ac:dyDescent="0.25">
      <c r="A57" s="19" t="s">
        <v>85</v>
      </c>
      <c r="B57" s="1" t="s">
        <v>28</v>
      </c>
      <c r="C57" s="7">
        <v>15000</v>
      </c>
      <c r="D57" s="7">
        <f>27444+30739</f>
        <v>58183</v>
      </c>
      <c r="E57" s="26">
        <f t="shared" si="0"/>
        <v>-43183</v>
      </c>
      <c r="F57" s="4"/>
      <c r="G57" s="4"/>
      <c r="H57" s="4"/>
      <c r="I57" s="4"/>
    </row>
    <row r="58" spans="1:9" x14ac:dyDescent="0.25">
      <c r="A58" s="19" t="s">
        <v>86</v>
      </c>
      <c r="B58" s="1" t="s">
        <v>30</v>
      </c>
      <c r="C58" s="7">
        <v>36000</v>
      </c>
      <c r="D58" s="7">
        <v>32788.449999999997</v>
      </c>
      <c r="E58" s="26">
        <f t="shared" si="0"/>
        <v>3211.5500000000029</v>
      </c>
      <c r="F58" s="4"/>
      <c r="G58" s="4"/>
      <c r="H58" s="4"/>
      <c r="I58" s="4"/>
    </row>
    <row r="59" spans="1:9" x14ac:dyDescent="0.25">
      <c r="A59" s="19" t="s">
        <v>87</v>
      </c>
      <c r="B59" s="1" t="s">
        <v>48</v>
      </c>
      <c r="C59" s="7">
        <v>50000</v>
      </c>
      <c r="D59" s="7">
        <f>4450+41664+1555.48+3278+6000</f>
        <v>56947.48</v>
      </c>
      <c r="E59" s="26">
        <f t="shared" si="0"/>
        <v>-6947.4800000000032</v>
      </c>
      <c r="F59" s="4"/>
      <c r="G59" s="4"/>
      <c r="H59" s="4"/>
      <c r="I59" s="4"/>
    </row>
    <row r="60" spans="1:9" x14ac:dyDescent="0.25">
      <c r="A60" s="19" t="s">
        <v>88</v>
      </c>
      <c r="B60" s="1" t="s">
        <v>49</v>
      </c>
      <c r="C60" s="7">
        <v>28000</v>
      </c>
      <c r="D60" s="7">
        <f>3770+8000</f>
        <v>11770</v>
      </c>
      <c r="E60" s="26">
        <f t="shared" si="0"/>
        <v>16230</v>
      </c>
      <c r="F60" s="4"/>
      <c r="G60" s="4"/>
      <c r="H60" s="4"/>
      <c r="I60" s="4"/>
    </row>
    <row r="61" spans="1:9" x14ac:dyDescent="0.25">
      <c r="A61" s="19" t="s">
        <v>118</v>
      </c>
      <c r="B61" s="1" t="s">
        <v>45</v>
      </c>
      <c r="C61" s="7">
        <v>0</v>
      </c>
      <c r="D61" s="7">
        <v>0</v>
      </c>
      <c r="E61" s="26">
        <f t="shared" si="0"/>
        <v>0</v>
      </c>
      <c r="F61" s="4"/>
      <c r="G61" s="4"/>
      <c r="H61" s="4"/>
      <c r="I61" s="4"/>
    </row>
    <row r="62" spans="1:9" x14ac:dyDescent="0.25">
      <c r="A62" s="20" t="s">
        <v>89</v>
      </c>
      <c r="B62" s="2" t="s">
        <v>13</v>
      </c>
      <c r="C62" s="12">
        <f>C63</f>
        <v>1888.38</v>
      </c>
      <c r="D62" s="12">
        <f>D63</f>
        <v>1888.38</v>
      </c>
      <c r="E62" s="27">
        <f t="shared" si="0"/>
        <v>0</v>
      </c>
      <c r="F62" s="4"/>
      <c r="G62" s="4"/>
      <c r="H62" s="4"/>
      <c r="I62" s="4">
        <v>1888.38</v>
      </c>
    </row>
    <row r="63" spans="1:9" ht="45" x14ac:dyDescent="0.25">
      <c r="A63" s="19" t="s">
        <v>91</v>
      </c>
      <c r="B63" s="3" t="s">
        <v>20</v>
      </c>
      <c r="C63" s="7">
        <v>1888.38</v>
      </c>
      <c r="D63" s="7">
        <v>1888.38</v>
      </c>
      <c r="E63" s="26">
        <f t="shared" si="0"/>
        <v>0</v>
      </c>
      <c r="F63" s="4"/>
      <c r="G63" s="4"/>
      <c r="H63" s="4"/>
      <c r="I63" s="4"/>
    </row>
    <row r="64" spans="1:9" x14ac:dyDescent="0.25">
      <c r="A64" s="20" t="s">
        <v>90</v>
      </c>
      <c r="B64" s="2" t="s">
        <v>115</v>
      </c>
      <c r="C64" s="12">
        <f>SUM(C65)</f>
        <v>648000</v>
      </c>
      <c r="D64" s="12">
        <f>D65</f>
        <v>542133</v>
      </c>
      <c r="E64" s="27">
        <f t="shared" si="0"/>
        <v>105867</v>
      </c>
      <c r="F64" s="4">
        <f>C64/600*144</f>
        <v>155520</v>
      </c>
      <c r="G64" s="4">
        <f>C64/600*180</f>
        <v>194400</v>
      </c>
      <c r="H64" s="4">
        <f>C64/600*180</f>
        <v>194400</v>
      </c>
      <c r="I64" s="4">
        <f>C64/600*96</f>
        <v>103680</v>
      </c>
    </row>
    <row r="65" spans="1:9" ht="45" x14ac:dyDescent="0.25">
      <c r="A65" s="19" t="s">
        <v>92</v>
      </c>
      <c r="B65" s="3" t="s">
        <v>19</v>
      </c>
      <c r="C65" s="7">
        <v>648000</v>
      </c>
      <c r="D65" s="7">
        <v>542133</v>
      </c>
      <c r="E65" s="26">
        <f t="shared" si="0"/>
        <v>105867</v>
      </c>
      <c r="F65" s="4">
        <f>D64/600*144</f>
        <v>130111.92</v>
      </c>
      <c r="G65" s="4">
        <f>D64/600*180</f>
        <v>162639.9</v>
      </c>
      <c r="H65" s="4">
        <f>D64/600*180</f>
        <v>162639.9</v>
      </c>
      <c r="I65" s="4">
        <f>D64/600*96</f>
        <v>86741.28</v>
      </c>
    </row>
    <row r="66" spans="1:9" x14ac:dyDescent="0.25">
      <c r="A66" s="20" t="s">
        <v>93</v>
      </c>
      <c r="B66" s="2" t="s">
        <v>3</v>
      </c>
      <c r="C66" s="12">
        <f>SUM(C67)</f>
        <v>1187379</v>
      </c>
      <c r="D66" s="12">
        <f>D67</f>
        <v>1187379</v>
      </c>
      <c r="E66" s="27">
        <f t="shared" si="0"/>
        <v>0</v>
      </c>
      <c r="F66" s="4">
        <f>C66/F12*F13</f>
        <v>280548.63651611027</v>
      </c>
      <c r="G66" s="4">
        <f>C66/F12*G13</f>
        <v>371245.66710485757</v>
      </c>
      <c r="H66" s="4">
        <f>C66/F12*H13</f>
        <v>350340.4249696288</v>
      </c>
      <c r="I66" s="4">
        <f>C66/F12*I13</f>
        <v>185244.27140940327</v>
      </c>
    </row>
    <row r="67" spans="1:9" ht="30" x14ac:dyDescent="0.25">
      <c r="A67" s="19" t="s">
        <v>94</v>
      </c>
      <c r="B67" s="3" t="s">
        <v>31</v>
      </c>
      <c r="C67" s="7">
        <v>1187379</v>
      </c>
      <c r="D67" s="7">
        <v>1187379</v>
      </c>
      <c r="E67" s="26">
        <f t="shared" si="0"/>
        <v>0</v>
      </c>
      <c r="F67" s="4"/>
      <c r="G67" s="4"/>
      <c r="H67" s="4"/>
      <c r="I67" s="4"/>
    </row>
    <row r="68" spans="1:9" x14ac:dyDescent="0.25">
      <c r="A68" s="21">
        <v>10</v>
      </c>
      <c r="B68" s="15" t="s">
        <v>95</v>
      </c>
      <c r="C68" s="16">
        <f>C14+C19+C25+C31+C36+C49+C62+C64+C66</f>
        <v>10919110.24368</v>
      </c>
      <c r="D68" s="16">
        <f>D14+D19+D25+D31+D36+D49+D62+D64+D66</f>
        <v>10108194.449999999</v>
      </c>
      <c r="E68" s="27">
        <f t="shared" si="0"/>
        <v>810915.79368000105</v>
      </c>
      <c r="F68" s="16">
        <f>F14+F19+F25+F31+F36+F49+F62+F64+F66</f>
        <v>2581886.1324116848</v>
      </c>
      <c r="G68" s="16">
        <f t="shared" ref="G68:I69" si="1">G14+G19+G25+G31+G36+G49+G62+G64+G66</f>
        <v>3405172.7367838495</v>
      </c>
      <c r="H68" s="16">
        <f t="shared" si="1"/>
        <v>3224370.6764470781</v>
      </c>
      <c r="I68" s="16">
        <f t="shared" si="1"/>
        <v>1707680.6980373883</v>
      </c>
    </row>
    <row r="69" spans="1:9" x14ac:dyDescent="0.25">
      <c r="A69" s="20" t="s">
        <v>97</v>
      </c>
      <c r="B69" s="2" t="s">
        <v>39</v>
      </c>
      <c r="C69" s="14">
        <f>SUM(C70:C71)</f>
        <v>48000</v>
      </c>
      <c r="D69" s="14">
        <f>SUM(D70:D71)</f>
        <v>0</v>
      </c>
      <c r="E69" s="27">
        <f t="shared" si="0"/>
        <v>48000</v>
      </c>
      <c r="F69" s="16">
        <f>F15+F20+F26+F32+F37+F50+F63+F65+F66</f>
        <v>2389892.2548320973</v>
      </c>
      <c r="G69" s="16">
        <f t="shared" ref="G69:I69" si="2">G15+G20+G26+G32+G37+G50+G63+G65+G66</f>
        <v>3152972.2300129645</v>
      </c>
      <c r="H69" s="16">
        <f t="shared" si="2"/>
        <v>2984583.4056766876</v>
      </c>
      <c r="I69" s="16">
        <f>I15+I20+I26+I32+I37+I50+I62+I65+I66</f>
        <v>1580746.5594782506</v>
      </c>
    </row>
    <row r="70" spans="1:9" x14ac:dyDescent="0.25">
      <c r="A70" s="19" t="s">
        <v>98</v>
      </c>
      <c r="B70" s="1" t="s">
        <v>40</v>
      </c>
      <c r="C70" s="13">
        <v>0</v>
      </c>
      <c r="D70" s="13">
        <v>0</v>
      </c>
      <c r="E70" s="26">
        <f t="shared" si="0"/>
        <v>0</v>
      </c>
      <c r="F70" s="4"/>
      <c r="G70" s="4"/>
      <c r="H70" s="4"/>
      <c r="I70" s="4"/>
    </row>
    <row r="71" spans="1:9" x14ac:dyDescent="0.25">
      <c r="A71" s="19" t="s">
        <v>99</v>
      </c>
      <c r="B71" s="1" t="s">
        <v>41</v>
      </c>
      <c r="C71" s="13">
        <v>48000</v>
      </c>
      <c r="D71" s="13">
        <v>0</v>
      </c>
      <c r="E71" s="26">
        <f t="shared" si="0"/>
        <v>48000</v>
      </c>
      <c r="F71" s="4"/>
      <c r="G71" s="4"/>
      <c r="H71" s="4"/>
      <c r="I71" s="4"/>
    </row>
    <row r="72" spans="1:9" x14ac:dyDescent="0.25">
      <c r="A72" s="20" t="s">
        <v>100</v>
      </c>
      <c r="B72" s="2" t="s">
        <v>120</v>
      </c>
      <c r="C72" s="14">
        <f>SUM(C73:C76)</f>
        <v>115000</v>
      </c>
      <c r="D72" s="14">
        <f>SUM(D73:D76)</f>
        <v>8500</v>
      </c>
      <c r="E72" s="27">
        <f t="shared" si="0"/>
        <v>106500</v>
      </c>
      <c r="F72" s="4"/>
      <c r="G72" s="4"/>
      <c r="H72" s="4"/>
      <c r="I72" s="4"/>
    </row>
    <row r="73" spans="1:9" x14ac:dyDescent="0.25">
      <c r="A73" s="19" t="s">
        <v>101</v>
      </c>
      <c r="B73" s="1" t="s">
        <v>42</v>
      </c>
      <c r="C73" s="13">
        <v>15000</v>
      </c>
      <c r="D73" s="13">
        <v>8500</v>
      </c>
      <c r="E73" s="26">
        <f t="shared" si="0"/>
        <v>6500</v>
      </c>
      <c r="F73" s="4"/>
      <c r="G73" s="4"/>
      <c r="H73" s="4"/>
      <c r="I73" s="4"/>
    </row>
    <row r="74" spans="1:9" x14ac:dyDescent="0.25">
      <c r="A74" s="19" t="s">
        <v>102</v>
      </c>
      <c r="B74" s="1" t="s">
        <v>43</v>
      </c>
      <c r="C74" s="13">
        <v>15000</v>
      </c>
      <c r="D74" s="13">
        <v>0</v>
      </c>
      <c r="E74" s="26">
        <f t="shared" si="0"/>
        <v>15000</v>
      </c>
      <c r="F74" s="4"/>
      <c r="G74" s="4"/>
      <c r="H74" s="4"/>
      <c r="I74" s="4"/>
    </row>
    <row r="75" spans="1:9" x14ac:dyDescent="0.25">
      <c r="A75" s="19" t="s">
        <v>103</v>
      </c>
      <c r="B75" s="1" t="s">
        <v>44</v>
      </c>
      <c r="C75" s="13">
        <v>35000</v>
      </c>
      <c r="D75" s="13">
        <v>0</v>
      </c>
      <c r="E75" s="26">
        <f t="shared" si="0"/>
        <v>35000</v>
      </c>
      <c r="F75" s="4"/>
      <c r="G75" s="4"/>
      <c r="H75" s="4"/>
      <c r="I75" s="4"/>
    </row>
    <row r="76" spans="1:9" x14ac:dyDescent="0.25">
      <c r="A76" s="19" t="s">
        <v>104</v>
      </c>
      <c r="B76" s="3" t="s">
        <v>47</v>
      </c>
      <c r="C76" s="13">
        <v>50000</v>
      </c>
      <c r="D76" s="13">
        <v>0</v>
      </c>
      <c r="E76" s="26">
        <f t="shared" si="0"/>
        <v>50000</v>
      </c>
      <c r="F76" s="4"/>
      <c r="G76" s="4"/>
      <c r="H76" s="4"/>
      <c r="I76" s="4"/>
    </row>
    <row r="77" spans="1:9" x14ac:dyDescent="0.25">
      <c r="A77" s="20" t="s">
        <v>105</v>
      </c>
      <c r="B77" s="2" t="s">
        <v>45</v>
      </c>
      <c r="C77" s="14">
        <f>C84-C69-C72</f>
        <v>372055.76</v>
      </c>
      <c r="D77" s="16">
        <f>D85-D68+D84-D72</f>
        <v>1441548.7100000011</v>
      </c>
      <c r="E77" s="26">
        <f t="shared" si="0"/>
        <v>-1069492.9500000011</v>
      </c>
      <c r="F77" s="4"/>
      <c r="G77" s="4"/>
      <c r="H77" s="4"/>
      <c r="I77" s="4"/>
    </row>
    <row r="78" spans="1:9" x14ac:dyDescent="0.25">
      <c r="A78" s="20" t="s">
        <v>106</v>
      </c>
      <c r="B78" s="15" t="s">
        <v>96</v>
      </c>
      <c r="C78" s="16">
        <f>C69+C72+C77</f>
        <v>535055.76</v>
      </c>
      <c r="D78" s="16">
        <f>D69+D72+D77</f>
        <v>1450048.7100000011</v>
      </c>
      <c r="E78" s="27">
        <f t="shared" si="0"/>
        <v>-914992.95000000112</v>
      </c>
      <c r="F78" s="37"/>
      <c r="G78" s="4"/>
      <c r="H78" s="4"/>
      <c r="I78" s="4"/>
    </row>
    <row r="79" spans="1:9" x14ac:dyDescent="0.25">
      <c r="A79" s="20" t="s">
        <v>108</v>
      </c>
      <c r="B79" s="15" t="s">
        <v>107</v>
      </c>
      <c r="C79" s="16">
        <f>C68+C78</f>
        <v>11454166.00368</v>
      </c>
      <c r="D79" s="16">
        <f>D68+D78</f>
        <v>11558243.16</v>
      </c>
      <c r="E79" s="27">
        <f>C79-D79</f>
        <v>-104077.15632000007</v>
      </c>
      <c r="F79" s="4"/>
      <c r="G79" s="37"/>
      <c r="H79" s="4"/>
      <c r="I79" s="4"/>
    </row>
    <row r="80" spans="1:9" x14ac:dyDescent="0.25">
      <c r="A80" s="19"/>
      <c r="B80" s="4"/>
      <c r="C80" s="4"/>
      <c r="D80" s="4"/>
      <c r="E80" s="25"/>
      <c r="F80" s="4"/>
      <c r="G80" s="4"/>
      <c r="H80" s="4"/>
      <c r="I80" s="4"/>
    </row>
    <row r="81" spans="1:9" x14ac:dyDescent="0.25">
      <c r="A81" s="19"/>
      <c r="B81" s="4"/>
      <c r="C81" s="4"/>
      <c r="D81" s="4"/>
      <c r="E81" s="25"/>
      <c r="F81" s="4"/>
      <c r="G81" s="4"/>
      <c r="H81" s="4"/>
      <c r="I81" s="4"/>
    </row>
    <row r="82" spans="1:9" x14ac:dyDescent="0.25">
      <c r="A82" s="33" t="s">
        <v>32</v>
      </c>
      <c r="B82" s="33" t="s">
        <v>109</v>
      </c>
      <c r="C82" s="33" t="s">
        <v>110</v>
      </c>
      <c r="D82" s="33"/>
      <c r="E82" s="25"/>
      <c r="F82" s="4"/>
      <c r="G82" s="4"/>
      <c r="H82" s="4"/>
      <c r="I82" s="4"/>
    </row>
    <row r="83" spans="1:9" x14ac:dyDescent="0.25">
      <c r="A83" s="33"/>
      <c r="B83" s="33"/>
      <c r="C83" s="22" t="s">
        <v>131</v>
      </c>
      <c r="D83" s="22" t="s">
        <v>132</v>
      </c>
      <c r="E83" s="25"/>
      <c r="F83" s="4"/>
      <c r="G83" s="4"/>
      <c r="H83" s="4"/>
      <c r="I83" s="4"/>
    </row>
    <row r="84" spans="1:9" x14ac:dyDescent="0.25">
      <c r="A84" s="20" t="s">
        <v>53</v>
      </c>
      <c r="B84" s="15" t="s">
        <v>112</v>
      </c>
      <c r="C84" s="14">
        <v>535055.76</v>
      </c>
      <c r="D84" s="14">
        <v>980981.76000000001</v>
      </c>
      <c r="E84" s="25">
        <f>D84-C84</f>
        <v>445926</v>
      </c>
      <c r="F84" s="4"/>
      <c r="G84" s="4"/>
      <c r="H84" s="4"/>
      <c r="I84" s="4"/>
    </row>
    <row r="85" spans="1:9" x14ac:dyDescent="0.25">
      <c r="A85" s="20" t="s">
        <v>58</v>
      </c>
      <c r="B85" s="15" t="s">
        <v>113</v>
      </c>
      <c r="C85" s="16">
        <f>C68</f>
        <v>10919110.24368</v>
      </c>
      <c r="D85" s="16">
        <v>10577261.4</v>
      </c>
      <c r="E85" s="25">
        <f t="shared" ref="E85:E86" si="3">D85-C85</f>
        <v>-341848.84367999993</v>
      </c>
      <c r="F85" s="4"/>
      <c r="G85" s="4"/>
      <c r="H85" s="4"/>
      <c r="I85" s="4"/>
    </row>
    <row r="86" spans="1:9" x14ac:dyDescent="0.25">
      <c r="A86" s="20" t="s">
        <v>36</v>
      </c>
      <c r="B86" s="15" t="s">
        <v>114</v>
      </c>
      <c r="C86" s="16">
        <f>C84+C85</f>
        <v>11454166.00368</v>
      </c>
      <c r="D86" s="16">
        <f>SUM(D84:D85)</f>
        <v>11558243.16</v>
      </c>
      <c r="E86" s="25">
        <f t="shared" si="3"/>
        <v>104077.15632000007</v>
      </c>
      <c r="F86" s="4"/>
      <c r="G86" s="4"/>
      <c r="H86" s="4"/>
      <c r="I86" s="4"/>
    </row>
    <row r="87" spans="1:9" x14ac:dyDescent="0.25">
      <c r="A87" s="19"/>
      <c r="B87" s="4"/>
      <c r="C87" s="4"/>
      <c r="D87" s="4"/>
      <c r="E87" s="25"/>
      <c r="F87" s="4"/>
      <c r="G87" s="4"/>
      <c r="H87" s="4"/>
      <c r="I87" s="4"/>
    </row>
    <row r="88" spans="1:9" x14ac:dyDescent="0.25">
      <c r="A88" s="18"/>
      <c r="B88" s="8"/>
      <c r="C88" s="8"/>
      <c r="D88" s="8"/>
      <c r="E88" s="24"/>
    </row>
    <row r="89" spans="1:9" x14ac:dyDescent="0.25">
      <c r="A89" s="32" t="s">
        <v>138</v>
      </c>
      <c r="B89" s="32"/>
    </row>
  </sheetData>
  <mergeCells count="15">
    <mergeCell ref="F12:I12"/>
    <mergeCell ref="F11:I11"/>
    <mergeCell ref="C1:E1"/>
    <mergeCell ref="C2:E2"/>
    <mergeCell ref="C3:E3"/>
    <mergeCell ref="A6:E6"/>
    <mergeCell ref="A89:B89"/>
    <mergeCell ref="A82:A83"/>
    <mergeCell ref="B82:B83"/>
    <mergeCell ref="C82:D82"/>
    <mergeCell ref="E11:E12"/>
    <mergeCell ref="A11:A12"/>
    <mergeCell ref="B11:B12"/>
    <mergeCell ref="C11:D11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сметы</vt:lpstr>
      <vt:lpstr>'Отчет об исполнении сметы'!Область_печати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2016-03-25T08:54:20Z</dcterms:modified>
</cp:coreProperties>
</file>